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Tire Section Ca" sheetId="1" r:id="rId1"/>
    <sheet name="About...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<sst xmlns="http://schemas.openxmlformats.org/spreadsheetml/2006/main" count="124" uniqueCount="79">
  <si>
    <t>+1</t>
  </si>
  <si>
    <t>+2</t>
  </si>
  <si>
    <t>+3</t>
  </si>
  <si>
    <t>Tire Section Calculator    1.1</t>
  </si>
  <si>
    <t>Developed by Aaron Bohnen. Email: bohnen@unixg.ubc.ca</t>
  </si>
  <si>
    <t>Original fitment</t>
  </si>
  <si>
    <t>width</t>
  </si>
  <si>
    <t>aspect ratio</t>
  </si>
  <si>
    <t>wheel diameter</t>
  </si>
  <si>
    <t>offset</t>
  </si>
  <si>
    <t>original diam.</t>
  </si>
  <si>
    <t>Potential Fitments:</t>
  </si>
  <si>
    <t>tire</t>
  </si>
  <si>
    <t>Instructions:</t>
  </si>
  <si>
    <t>Change values in boxed cells</t>
  </si>
  <si>
    <t>to see effects of tire fitment</t>
  </si>
  <si>
    <t>changes. Unboxed cells show</t>
  </si>
  <si>
    <t>resulting geometry. Hold the</t>
  </si>
  <si>
    <t>cursor over inputs or results to</t>
  </si>
  <si>
    <t>view associated pop-up help.</t>
  </si>
  <si>
    <t>Note to TRX owners:</t>
  </si>
  <si>
    <t>TRX 390 mm = 15.35 in.</t>
  </si>
  <si>
    <t>TRX 415 mm = 16.34 in.</t>
  </si>
  <si>
    <t>aspect</t>
  </si>
  <si>
    <t>ratio</t>
  </si>
  <si>
    <t>wheel</t>
  </si>
  <si>
    <t>diam</t>
  </si>
  <si>
    <t>mm</t>
  </si>
  <si>
    <t>%</t>
  </si>
  <si>
    <t>in</t>
  </si>
  <si>
    <t>Geometry Calculations:</t>
  </si>
  <si>
    <t>change in ride height</t>
  </si>
  <si>
    <t>inwards add'l width req'd</t>
  </si>
  <si>
    <t>outwards add'l width req'd</t>
  </si>
  <si>
    <t>add'l total tire height</t>
  </si>
  <si>
    <t>add'l vert clearance req'd</t>
  </si>
  <si>
    <t>additional rolling diameter</t>
  </si>
  <si>
    <t>change in drive ratio</t>
  </si>
  <si>
    <t>Speed Calculations:</t>
  </si>
  <si>
    <t>speedometer reading</t>
  </si>
  <si>
    <t>desired speed</t>
  </si>
  <si>
    <t>Proposed fitment</t>
  </si>
  <si>
    <t>proposed diam.</t>
  </si>
  <si>
    <t>kph or mph</t>
  </si>
  <si>
    <t>actual speed</t>
  </si>
  <si>
    <t>location</t>
  </si>
  <si>
    <t>bottom out</t>
  </si>
  <si>
    <t>bottom in</t>
  </si>
  <si>
    <t>top out</t>
  </si>
  <si>
    <t xml:space="preserve">top in </t>
  </si>
  <si>
    <t>original centre</t>
  </si>
  <si>
    <t>wheeldiam</t>
  </si>
  <si>
    <t>x</t>
  </si>
  <si>
    <t>y</t>
  </si>
  <si>
    <t>proposed centre</t>
  </si>
  <si>
    <t>Tire Section Calculator      1.1</t>
  </si>
  <si>
    <t>About the Tire Section Calculator 1.1</t>
  </si>
  <si>
    <t>The Tire Section Calculator 1.1 is a simple tire section graphical tool designed to</t>
  </si>
  <si>
    <t xml:space="preserve">help vehicle owners evaluate potential wheel fitment options. </t>
  </si>
  <si>
    <t xml:space="preserve">DISCLAIMER: This software assumes that the nominal values for the width, </t>
  </si>
  <si>
    <t xml:space="preserve">aspect ratio, etc. etc. are ACTUAL numbers and the speedometer readings in </t>
  </si>
  <si>
    <t>your car with the stock wheel fitment are correct. It is intended for guidance</t>
  </si>
  <si>
    <t>purposes only and SHOULD NOT be relied on solely for fitment information.</t>
  </si>
  <si>
    <t>There are many more variables such as rim width, inside profile, etc. that are not</t>
  </si>
  <si>
    <t>considered. I strongly urge you to find a good tire and wheel vendor and seek their</t>
  </si>
  <si>
    <t>advice before committing to any tire and wheel fitment.</t>
  </si>
  <si>
    <t xml:space="preserve">I can take no, zero, zilch, nil responsibility for anything you do. </t>
  </si>
  <si>
    <t>Revision History</t>
  </si>
  <si>
    <t xml:space="preserve">1.1 - this version, March 7, 1999 - includes pop-up help and "About" page, " </t>
  </si>
  <si>
    <t>Potential Fitments, etc.</t>
  </si>
  <si>
    <t>1.0 - original release, March 6 1999</t>
  </si>
  <si>
    <t>About Anthus Engineering</t>
  </si>
  <si>
    <t>Anthus Engineering is an engineering services firm. We offer precision drafting and</t>
  </si>
  <si>
    <t xml:space="preserve">3D modelling, engineering photography and image services, physical system and </t>
  </si>
  <si>
    <t>decision analysis software development, problem analysis and definition, etc.</t>
  </si>
  <si>
    <t>Contact:</t>
  </si>
  <si>
    <t>Aaron Bohnen</t>
  </si>
  <si>
    <t>Email: bohnen@unixg.ubc.ca</t>
  </si>
  <si>
    <t>@ROUNDUP(M21,0); 16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</si>
</sst>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0"/>
    <numFmt numFmtId="167" formatCode="0.0"/>
  </numFmts>
  <fonts count="1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4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b/>
      <sz val="12"/>
      <color indexed="12"/>
      <name val="Arial"/>
      <family val="0"/>
    </font>
    <font>
      <b/>
      <sz val="12"/>
      <color indexed="20"/>
      <name val="Arial"/>
      <family val="0"/>
    </font>
    <font>
      <b/>
      <sz val="12"/>
      <color indexed="17"/>
      <name val="Arial"/>
      <family val="0"/>
    </font>
    <font>
      <sz val="11"/>
      <color indexed="17"/>
      <name val="Arial"/>
      <family val="0"/>
    </font>
    <font>
      <b/>
      <sz val="12"/>
      <color indexed="63"/>
      <name val="Arial"/>
      <family val="0"/>
    </font>
    <font>
      <b/>
      <sz val="11"/>
      <name val="Arial"/>
      <family val="0"/>
    </font>
    <font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0" fillId="2" borderId="1" xfId="0" applyNumberFormat="1" applyFont="1" applyFill="1" applyAlignment="1">
      <alignment/>
    </xf>
    <xf numFmtId="164" fontId="0" fillId="2" borderId="2" xfId="0" applyNumberFormat="1" applyFont="1" applyFill="1" applyAlignment="1">
      <alignment/>
    </xf>
    <xf numFmtId="164" fontId="0" fillId="0" borderId="3" xfId="0" applyNumberFormat="1" applyAlignment="1">
      <alignment/>
    </xf>
    <xf numFmtId="164" fontId="4" fillId="3" borderId="3" xfId="0" applyNumberFormat="1" applyFont="1" applyFill="1" applyAlignment="1">
      <alignment/>
    </xf>
    <xf numFmtId="164" fontId="0" fillId="3" borderId="0" xfId="0" applyNumberFormat="1" applyFont="1" applyFill="1" applyAlignment="1">
      <alignment/>
    </xf>
    <xf numFmtId="164" fontId="0" fillId="3" borderId="3" xfId="0" applyNumberFormat="1" applyFont="1" applyFill="1" applyAlignment="1">
      <alignment/>
    </xf>
    <xf numFmtId="164" fontId="0" fillId="2" borderId="3" xfId="0" applyNumberFormat="1" applyFont="1" applyFill="1" applyAlignment="1">
      <alignment/>
    </xf>
    <xf numFmtId="164" fontId="0" fillId="2" borderId="0" xfId="0" applyNumberFormat="1" applyFont="1" applyFill="1" applyAlignment="1">
      <alignment/>
    </xf>
    <xf numFmtId="164" fontId="0" fillId="0" borderId="2" xfId="0" applyNumberFormat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7" fillId="0" borderId="1" xfId="0" applyNumberFormat="1" applyFont="1" applyAlignment="1">
      <alignment horizontal="right"/>
    </xf>
    <xf numFmtId="164" fontId="0" fillId="0" borderId="3" xfId="0" applyNumberFormat="1" applyFont="1" applyAlignment="1">
      <alignment/>
    </xf>
    <xf numFmtId="164" fontId="8" fillId="0" borderId="1" xfId="0" applyNumberFormat="1" applyFont="1" applyAlignment="1">
      <alignment horizontal="right"/>
    </xf>
    <xf numFmtId="164" fontId="7" fillId="0" borderId="1" xfId="0" applyNumberFormat="1" applyFont="1" applyAlignment="1">
      <alignment horizontal="right"/>
    </xf>
    <xf numFmtId="164" fontId="8" fillId="0" borderId="1" xfId="0" applyNumberFormat="1" applyFont="1" applyAlignment="1">
      <alignment horizontal="right"/>
    </xf>
    <xf numFmtId="164" fontId="0" fillId="0" borderId="2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166" fontId="9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right"/>
    </xf>
    <xf numFmtId="164" fontId="9" fillId="0" borderId="1" xfId="0" applyNumberFormat="1" applyFont="1" applyAlignment="1">
      <alignment horizontal="center"/>
    </xf>
    <xf numFmtId="164" fontId="9" fillId="0" borderId="2" xfId="0" applyNumberFormat="1" applyFont="1" applyAlignment="1">
      <alignment horizontal="center"/>
    </xf>
    <xf numFmtId="164" fontId="9" fillId="0" borderId="3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6" fillId="4" borderId="0" xfId="0" applyNumberFormat="1" applyFont="1" applyFill="1" applyAlignment="1">
      <alignment/>
    </xf>
    <xf numFmtId="164" fontId="0" fillId="4" borderId="0" xfId="0" applyNumberFormat="1" applyFont="1" applyFill="1" applyAlignment="1">
      <alignment/>
    </xf>
    <xf numFmtId="0" fontId="11" fillId="0" borderId="1" xfId="0" applyFont="1" applyAlignment="1">
      <alignment horizontal="right"/>
    </xf>
    <xf numFmtId="0" fontId="0" fillId="0" borderId="2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Alignment="1">
      <alignment/>
    </xf>
    <xf numFmtId="0" fontId="0" fillId="2" borderId="2" xfId="0" applyFont="1" applyFill="1" applyAlignment="1">
      <alignment/>
    </xf>
    <xf numFmtId="0" fontId="0" fillId="0" borderId="3" xfId="0" applyAlignment="1">
      <alignment/>
    </xf>
    <xf numFmtId="0" fontId="4" fillId="3" borderId="3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3" xfId="0" applyFont="1" applyFill="1" applyAlignment="1">
      <alignment/>
    </xf>
    <xf numFmtId="0" fontId="0" fillId="2" borderId="3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2" xfId="0" applyAlignment="1">
      <alignment/>
    </xf>
    <xf numFmtId="0" fontId="6" fillId="0" borderId="1" xfId="0" applyFont="1" applyAlignment="1">
      <alignment/>
    </xf>
    <xf numFmtId="0" fontId="0" fillId="0" borderId="2" xfId="0" applyAlignment="1">
      <alignment/>
    </xf>
    <xf numFmtId="0" fontId="0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32"/>
  <sheetViews>
    <sheetView showGridLines="0" showRowColHeaders="0" tabSelected="1" showOutlineSymbols="0" defaultGridColor="0" zoomScale="75" zoomScaleNormal="75" colorId="22" workbookViewId="0" topLeftCell="B1">
      <pane topLeftCell="B1" activePane="topLeft" state="split"/>
      <selection pane="topLeft" activeCell="I12" sqref="I12"/>
    </sheetView>
  </sheetViews>
  <sheetFormatPr defaultColWidth="8.88671875" defaultRowHeight="15"/>
  <cols>
    <col min="1" max="1" width="3.6640625" style="1" customWidth="1"/>
    <col min="2" max="2" width="11.6640625" style="1" customWidth="1"/>
    <col min="3" max="3" width="6.6640625" style="1" customWidth="1"/>
    <col min="4" max="5" width="8.6640625" style="1" customWidth="1"/>
    <col min="6" max="6" width="11.6640625" style="1" customWidth="1"/>
    <col min="7" max="7" width="5.6640625" style="1" customWidth="1"/>
    <col min="8" max="10" width="9.6640625" style="1" customWidth="1"/>
    <col min="11" max="16" width="7.6640625" style="1" customWidth="1"/>
    <col min="17" max="256" width="9.6640625" style="1" customWidth="1"/>
  </cols>
  <sheetData>
    <row r="1" ht="6" customHeight="1"/>
    <row r="2" spans="2:9" ht="3.75" customHeight="1">
      <c r="B2" s="2"/>
      <c r="C2" s="3"/>
      <c r="D2" s="3"/>
      <c r="E2" s="3"/>
      <c r="F2" s="3"/>
      <c r="G2" s="3"/>
      <c r="H2" s="3"/>
      <c r="I2" s="4"/>
    </row>
    <row r="3" spans="2:9" ht="28.5">
      <c r="B3" s="5" t="s">
        <v>3</v>
      </c>
      <c r="C3" s="6"/>
      <c r="D3" s="6"/>
      <c r="E3" s="6"/>
      <c r="F3" s="6"/>
      <c r="G3" s="6"/>
      <c r="H3" s="6"/>
      <c r="I3" s="4"/>
    </row>
    <row r="4" spans="2:9" ht="13.5" customHeight="1">
      <c r="B4" s="7" t="s">
        <v>4</v>
      </c>
      <c r="C4" s="6"/>
      <c r="D4" s="6"/>
      <c r="E4" s="6"/>
      <c r="F4" s="6"/>
      <c r="G4" s="6"/>
      <c r="H4" s="6"/>
      <c r="I4" s="4"/>
    </row>
    <row r="5" spans="2:9" ht="3.75" customHeight="1">
      <c r="B5" s="8"/>
      <c r="C5" s="9"/>
      <c r="D5" s="9"/>
      <c r="E5" s="9"/>
      <c r="F5" s="9"/>
      <c r="G5" s="9"/>
      <c r="H5" s="9"/>
      <c r="I5" s="4"/>
    </row>
    <row r="6" spans="2:8" ht="6" customHeight="1">
      <c r="B6" s="10"/>
      <c r="C6" s="10"/>
      <c r="D6" s="10"/>
      <c r="E6" s="10"/>
      <c r="F6" s="10"/>
      <c r="G6" s="10"/>
      <c r="H6" s="10"/>
    </row>
    <row r="7" spans="2:16" ht="18.75">
      <c r="B7" s="11" t="s">
        <v>5</v>
      </c>
      <c r="F7" s="11" t="s">
        <v>41</v>
      </c>
      <c r="K7" s="12" t="s">
        <v>45</v>
      </c>
      <c r="L7" s="12" t="s">
        <v>52</v>
      </c>
      <c r="M7" s="12" t="s">
        <v>53</v>
      </c>
      <c r="N7" s="12" t="s">
        <v>45</v>
      </c>
      <c r="O7" s="12" t="s">
        <v>52</v>
      </c>
      <c r="P7" s="12" t="s">
        <v>53</v>
      </c>
    </row>
    <row r="8" spans="11:16" ht="1.5" customHeight="1">
      <c r="K8" s="12" t="s">
        <v>46</v>
      </c>
      <c r="L8" s="1">
        <f>-1*(0.5*$D$9-$D$12)</f>
        <v>-88</v>
      </c>
      <c r="M8" s="1">
        <f>-0.5*$D$14*25.4</f>
        <v>-315.945</v>
      </c>
      <c r="N8" s="12" t="s">
        <v>46</v>
      </c>
      <c r="O8" s="1">
        <f>-1*(0.5*$H$9-$H$12)</f>
        <v>-99.5</v>
      </c>
      <c r="P8" s="1">
        <f>-0.5*$H$14*25.4</f>
        <v>-315.7</v>
      </c>
    </row>
    <row r="9" spans="2:16" ht="13.5">
      <c r="B9" s="13" t="s">
        <v>6</v>
      </c>
      <c r="D9" s="14">
        <v>220</v>
      </c>
      <c r="E9" s="15" t="s">
        <v>27</v>
      </c>
      <c r="F9" s="13" t="s">
        <v>6</v>
      </c>
      <c r="H9" s="16">
        <v>225</v>
      </c>
      <c r="I9" s="15" t="s">
        <v>27</v>
      </c>
      <c r="K9" s="12" t="s">
        <v>47</v>
      </c>
      <c r="L9" s="1">
        <f>0.5*$D$9+$D$12</f>
        <v>132</v>
      </c>
      <c r="M9" s="1">
        <f>$M$8</f>
        <v>-315.945</v>
      </c>
      <c r="N9" s="12" t="s">
        <v>47</v>
      </c>
      <c r="O9" s="1">
        <f>0.5*$H$9+$H$12</f>
        <v>125.5</v>
      </c>
      <c r="P9" s="1">
        <f>$P$8</f>
        <v>-315.7</v>
      </c>
    </row>
    <row r="10" spans="2:16" ht="13.5">
      <c r="B10" s="13" t="s">
        <v>7</v>
      </c>
      <c r="D10" s="17">
        <v>55</v>
      </c>
      <c r="E10" s="15" t="s">
        <v>28</v>
      </c>
      <c r="F10" s="13" t="s">
        <v>7</v>
      </c>
      <c r="H10" s="18">
        <v>50</v>
      </c>
      <c r="I10" s="15" t="s">
        <v>28</v>
      </c>
      <c r="K10" s="12" t="s">
        <v>48</v>
      </c>
      <c r="L10" s="1">
        <f>$L$8</f>
        <v>-88</v>
      </c>
      <c r="M10" s="1">
        <f>-1*$M$9</f>
        <v>315.945</v>
      </c>
      <c r="N10" s="12" t="s">
        <v>48</v>
      </c>
      <c r="O10" s="1">
        <f>$O$8</f>
        <v>-99.5</v>
      </c>
      <c r="P10" s="1">
        <f>-1*$P$9</f>
        <v>315.7</v>
      </c>
    </row>
    <row r="11" spans="2:16" ht="13.5">
      <c r="B11" s="13" t="s">
        <v>8</v>
      </c>
      <c r="D11" s="17">
        <v>15.35</v>
      </c>
      <c r="E11" s="15" t="s">
        <v>29</v>
      </c>
      <c r="F11" s="13" t="s">
        <v>8</v>
      </c>
      <c r="H11" s="18">
        <v>16</v>
      </c>
      <c r="I11" s="15" t="s">
        <v>29</v>
      </c>
      <c r="K11" s="12" t="s">
        <v>49</v>
      </c>
      <c r="L11" s="1">
        <f>$L$9</f>
        <v>132</v>
      </c>
      <c r="M11" s="1">
        <f>$M$10</f>
        <v>315.945</v>
      </c>
      <c r="N11" s="12" t="s">
        <v>49</v>
      </c>
      <c r="O11" s="1">
        <f>$O$9</f>
        <v>125.5</v>
      </c>
      <c r="P11" s="1">
        <f>$P$10</f>
        <v>315.7</v>
      </c>
    </row>
    <row r="12" spans="2:16" ht="13.5">
      <c r="B12" s="13" t="s">
        <v>9</v>
      </c>
      <c r="D12" s="17">
        <v>22</v>
      </c>
      <c r="E12" s="15" t="s">
        <v>27</v>
      </c>
      <c r="F12" s="13" t="s">
        <v>9</v>
      </c>
      <c r="H12" s="18">
        <v>13</v>
      </c>
      <c r="I12" s="15" t="s">
        <v>27</v>
      </c>
      <c r="M12" s="1">
        <f>$M$10</f>
        <v>315.945</v>
      </c>
      <c r="P12" s="1">
        <f>$P$10</f>
        <v>315.7</v>
      </c>
    </row>
    <row r="13" spans="4:16" ht="7.5" customHeight="1">
      <c r="D13" s="19"/>
      <c r="E13" s="20"/>
      <c r="H13" s="19"/>
      <c r="I13" s="20"/>
      <c r="K13" s="12" t="s">
        <v>45</v>
      </c>
      <c r="L13" s="12" t="s">
        <v>52</v>
      </c>
      <c r="M13" s="12" t="s">
        <v>53</v>
      </c>
      <c r="N13" s="12" t="s">
        <v>45</v>
      </c>
      <c r="O13" s="12" t="s">
        <v>52</v>
      </c>
      <c r="P13" s="12" t="s">
        <v>53</v>
      </c>
    </row>
    <row r="14" spans="2:16" ht="13.5">
      <c r="B14" s="13" t="s">
        <v>10</v>
      </c>
      <c r="C14" s="20"/>
      <c r="D14" s="21">
        <f>($D$11*25.4+2*$D$10/100*$D$9)/25.4</f>
        <v>24.877559055118112</v>
      </c>
      <c r="E14" s="20" t="s">
        <v>29</v>
      </c>
      <c r="F14" s="13" t="s">
        <v>42</v>
      </c>
      <c r="H14" s="21">
        <f>($H$11*25.4+2*$H$10/100*$H$9)/25.4</f>
        <v>24.858267716535433</v>
      </c>
      <c r="I14" s="20" t="s">
        <v>29</v>
      </c>
      <c r="K14" s="12" t="s">
        <v>46</v>
      </c>
      <c r="L14" s="1">
        <f>$L$8</f>
        <v>-88</v>
      </c>
      <c r="M14" s="1">
        <f>($M$8+$M$12)</f>
        <v>0</v>
      </c>
      <c r="N14" s="12" t="s">
        <v>46</v>
      </c>
      <c r="O14" s="1">
        <f>$O$8</f>
        <v>-99.5</v>
      </c>
      <c r="P14" s="1">
        <f>($P$8+$P$12)</f>
        <v>0</v>
      </c>
    </row>
    <row r="15" spans="8:16" ht="13.5" customHeight="1">
      <c r="H15" s="22"/>
      <c r="K15" s="12" t="s">
        <v>48</v>
      </c>
      <c r="L15" s="1">
        <f>$L$10</f>
        <v>-88</v>
      </c>
      <c r="M15" s="1">
        <f>-1*($M$8-$M$12)</f>
        <v>631.89</v>
      </c>
      <c r="N15" s="12" t="s">
        <v>48</v>
      </c>
      <c r="O15" s="1">
        <f>$O$10</f>
        <v>-99.5</v>
      </c>
      <c r="P15" s="1">
        <f>-1*($P$8-$P$12)</f>
        <v>631.4</v>
      </c>
    </row>
    <row r="16" spans="2:16" ht="15.75" customHeight="1">
      <c r="B16" s="13" t="s">
        <v>11</v>
      </c>
      <c r="E16" s="13" t="s">
        <v>30</v>
      </c>
      <c r="H16" s="22"/>
      <c r="K16" s="12" t="s">
        <v>49</v>
      </c>
      <c r="L16" s="1">
        <f>$L$11</f>
        <v>132</v>
      </c>
      <c r="M16" s="1">
        <f>$M$15</f>
        <v>631.89</v>
      </c>
      <c r="N16" s="12" t="s">
        <v>49</v>
      </c>
      <c r="O16" s="1">
        <f>$O$11</f>
        <v>125.5</v>
      </c>
      <c r="P16" s="1">
        <f>$P$15</f>
        <v>631.4</v>
      </c>
    </row>
    <row r="17" spans="2:16" ht="15.75" customHeight="1">
      <c r="B17" s="23" t="s">
        <v>12</v>
      </c>
      <c r="C17" s="23" t="s">
        <v>23</v>
      </c>
      <c r="D17" s="23" t="s">
        <v>25</v>
      </c>
      <c r="E17" s="20" t="s">
        <v>31</v>
      </c>
      <c r="H17" s="24">
        <f>$P$19-$M$19</f>
        <v>-0.24500000000000455</v>
      </c>
      <c r="I17" s="20" t="s">
        <v>27</v>
      </c>
      <c r="K17" s="12" t="s">
        <v>47</v>
      </c>
      <c r="L17" s="1">
        <f>$L$9</f>
        <v>132</v>
      </c>
      <c r="M17" s="1">
        <f>$M$14</f>
        <v>0</v>
      </c>
      <c r="N17" s="12" t="s">
        <v>47</v>
      </c>
      <c r="O17" s="1">
        <f>$O$9</f>
        <v>125.5</v>
      </c>
      <c r="P17" s="1">
        <f>$P$14</f>
        <v>0</v>
      </c>
    </row>
    <row r="18" spans="2:9" ht="15.75" customHeight="1">
      <c r="B18" s="23" t="s">
        <v>6</v>
      </c>
      <c r="C18" s="23" t="s">
        <v>24</v>
      </c>
      <c r="D18" s="23" t="s">
        <v>26</v>
      </c>
      <c r="E18" s="20" t="s">
        <v>32</v>
      </c>
      <c r="H18" s="24">
        <f>$O$16-$L$16</f>
        <v>-6.5</v>
      </c>
      <c r="I18" s="20" t="s">
        <v>27</v>
      </c>
    </row>
    <row r="19" spans="1:16" ht="15.75" customHeight="1">
      <c r="A19" s="20" t="s">
        <v>0</v>
      </c>
      <c r="B19" s="25">
        <f>$D$9+20</f>
        <v>240</v>
      </c>
      <c r="C19" s="26">
        <f>$D$10-10</f>
        <v>45</v>
      </c>
      <c r="D19" s="26" t="s">
        <v>78</v>
      </c>
      <c r="E19" s="20" t="s">
        <v>33</v>
      </c>
      <c r="H19" s="24">
        <f>-1*($O$15-$L$15)</f>
        <v>11.5</v>
      </c>
      <c r="I19" s="20" t="s">
        <v>27</v>
      </c>
      <c r="K19" s="12" t="s">
        <v>50</v>
      </c>
      <c r="L19" s="1">
        <v>0</v>
      </c>
      <c r="M19" s="1">
        <f>0.5*$M$16</f>
        <v>315.945</v>
      </c>
      <c r="N19" s="12" t="s">
        <v>54</v>
      </c>
      <c r="O19" s="1">
        <v>0</v>
      </c>
      <c r="P19" s="1">
        <f>0.5*$P$16</f>
        <v>315.7</v>
      </c>
    </row>
    <row r="20" spans="1:9" ht="15.75" customHeight="1">
      <c r="A20" s="20" t="s">
        <v>1</v>
      </c>
      <c r="B20" s="27">
        <f>$B$19+10</f>
        <v>250</v>
      </c>
      <c r="C20" s="28">
        <f>$C$19-10</f>
        <v>35</v>
      </c>
      <c r="D20" s="28">
        <f>$D$19+1</f>
        <v>17</v>
      </c>
      <c r="E20" s="20" t="s">
        <v>34</v>
      </c>
      <c r="H20" s="24">
        <f>$P$16-$M$16</f>
        <v>-0.4900000000000091</v>
      </c>
      <c r="I20" s="20" t="s">
        <v>27</v>
      </c>
    </row>
    <row r="21" spans="1:13" ht="15.75" customHeight="1">
      <c r="A21" s="20" t="s">
        <v>2</v>
      </c>
      <c r="B21" s="27">
        <f>$B$20+10</f>
        <v>260</v>
      </c>
      <c r="C21" s="28">
        <f>$C$20-10</f>
        <v>25</v>
      </c>
      <c r="D21" s="28">
        <f>$D$20+1</f>
        <v>18</v>
      </c>
      <c r="E21" s="20" t="s">
        <v>35</v>
      </c>
      <c r="F21" s="20"/>
      <c r="G21" s="20"/>
      <c r="H21" s="24">
        <f>0.5*$H$20</f>
        <v>-0.24500000000000455</v>
      </c>
      <c r="I21" s="20" t="s">
        <v>27</v>
      </c>
      <c r="K21" s="12" t="s">
        <v>51</v>
      </c>
      <c r="M21" s="1">
        <f>$D$11+0.4</f>
        <v>15.75</v>
      </c>
    </row>
    <row r="22" ht="6.75" customHeight="1">
      <c r="H22" s="29"/>
    </row>
    <row r="23" spans="2:9" ht="15.75" customHeight="1">
      <c r="B23" s="30" t="s">
        <v>13</v>
      </c>
      <c r="C23" s="31"/>
      <c r="D23" s="31"/>
      <c r="E23" s="20" t="s">
        <v>36</v>
      </c>
      <c r="F23" s="20"/>
      <c r="G23" s="20"/>
      <c r="H23" s="24">
        <f>PI()*$H$20</f>
        <v>-1.5393804002590272</v>
      </c>
      <c r="I23" s="20" t="s">
        <v>27</v>
      </c>
    </row>
    <row r="24" spans="2:9" ht="15.75" customHeight="1">
      <c r="B24" s="31" t="s">
        <v>14</v>
      </c>
      <c r="C24" s="31"/>
      <c r="D24" s="31"/>
      <c r="E24" s="20" t="s">
        <v>37</v>
      </c>
      <c r="F24" s="20"/>
      <c r="G24" s="20"/>
      <c r="H24" s="24">
        <f>$P$15/$M$15*100-100</f>
        <v>-0.07754514235072918</v>
      </c>
      <c r="I24" s="20" t="s">
        <v>28</v>
      </c>
    </row>
    <row r="25" spans="2:4" ht="13.5">
      <c r="B25" s="31" t="s">
        <v>15</v>
      </c>
      <c r="C25" s="31"/>
      <c r="D25" s="31"/>
    </row>
    <row r="26" spans="2:5" ht="13.5">
      <c r="B26" s="31" t="s">
        <v>16</v>
      </c>
      <c r="C26" s="31"/>
      <c r="D26" s="31"/>
      <c r="E26" s="13" t="s">
        <v>38</v>
      </c>
    </row>
    <row r="27" spans="2:9" ht="13.5">
      <c r="B27" s="31" t="s">
        <v>17</v>
      </c>
      <c r="C27" s="31"/>
      <c r="D27" s="31"/>
      <c r="E27" s="20" t="s">
        <v>39</v>
      </c>
      <c r="F27" s="20"/>
      <c r="G27" s="20"/>
      <c r="H27" s="20" t="s">
        <v>44</v>
      </c>
      <c r="I27" s="20"/>
    </row>
    <row r="28" spans="2:9" ht="13.5">
      <c r="B28" s="31" t="s">
        <v>18</v>
      </c>
      <c r="C28" s="31"/>
      <c r="D28" s="31"/>
      <c r="E28" s="32">
        <v>120</v>
      </c>
      <c r="F28" s="15" t="s">
        <v>43</v>
      </c>
      <c r="H28" s="24">
        <f>$E$28*($H$24+100)/100</f>
        <v>119.90694582917914</v>
      </c>
      <c r="I28" s="20" t="s">
        <v>43</v>
      </c>
    </row>
    <row r="29" spans="2:9" ht="13.5">
      <c r="B29" s="31" t="s">
        <v>19</v>
      </c>
      <c r="C29" s="31"/>
      <c r="D29" s="31"/>
      <c r="E29" s="33" t="s">
        <v>40</v>
      </c>
      <c r="F29" s="20"/>
      <c r="G29" s="20" t="s">
        <v>39</v>
      </c>
      <c r="H29" s="20"/>
      <c r="I29" s="20"/>
    </row>
    <row r="30" spans="2:9" ht="13.5">
      <c r="B30" s="34" t="s">
        <v>20</v>
      </c>
      <c r="C30" s="35"/>
      <c r="D30" s="35"/>
      <c r="E30" s="32">
        <v>100</v>
      </c>
      <c r="F30" s="15" t="s">
        <v>43</v>
      </c>
      <c r="G30" s="20"/>
      <c r="H30" s="24">
        <f>$E$30/100*(-1*$H$24+100)</f>
        <v>100.07754514235073</v>
      </c>
      <c r="I30" s="20" t="s">
        <v>43</v>
      </c>
    </row>
    <row r="31" spans="2:5" ht="13.5">
      <c r="B31" s="35" t="s">
        <v>21</v>
      </c>
      <c r="C31" s="35"/>
      <c r="D31" s="35"/>
      <c r="E31" s="10"/>
    </row>
    <row r="32" spans="2:4" ht="13.5">
      <c r="B32" s="35" t="s">
        <v>22</v>
      </c>
      <c r="C32" s="35"/>
      <c r="D32" s="35"/>
    </row>
  </sheetData>
  <sheetProtection sheet="1"/>
  <printOptions/>
  <pageMargins left="0.5" right="0.5" top="0.5" bottom="0.5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5"/>
  <sheetViews>
    <sheetView showGridLines="0" showRowColHeaders="0" showOutlineSymbols="0" defaultGridColor="0" zoomScale="75" zoomScaleNormal="75" colorId="22" workbookViewId="0" topLeftCell="A1">
      <pane topLeftCell="B1" activePane="topLeft" state="split"/>
      <selection pane="topLeft" activeCell="D14" sqref="D14"/>
    </sheetView>
  </sheetViews>
  <sheetFormatPr defaultColWidth="8.88671875" defaultRowHeight="15"/>
  <cols>
    <col min="1" max="1" width="2.6640625" style="36" customWidth="1"/>
    <col min="2" max="2" width="15.6640625" style="36" customWidth="1"/>
    <col min="3" max="3" width="6.6640625" style="36" customWidth="1"/>
    <col min="4" max="4" width="9.6640625" style="36" customWidth="1"/>
    <col min="5" max="5" width="8.6640625" style="36" customWidth="1"/>
    <col min="6" max="6" width="11.6640625" style="36" customWidth="1"/>
    <col min="7" max="7" width="6.6640625" style="36" customWidth="1"/>
    <col min="8" max="10" width="9.6640625" style="36" customWidth="1"/>
    <col min="11" max="16" width="7.6640625" style="36" customWidth="1"/>
    <col min="17" max="256" width="9.6640625" style="36" customWidth="1"/>
  </cols>
  <sheetData>
    <row r="1" ht="6" customHeight="1"/>
    <row r="2" spans="2:9" ht="3.75" customHeight="1">
      <c r="B2" s="37"/>
      <c r="C2" s="38"/>
      <c r="D2" s="38"/>
      <c r="E2" s="38"/>
      <c r="F2" s="38"/>
      <c r="G2" s="38"/>
      <c r="H2" s="38"/>
      <c r="I2" s="39"/>
    </row>
    <row r="3" spans="2:9" ht="28.5">
      <c r="B3" s="40" t="s">
        <v>55</v>
      </c>
      <c r="C3" s="41"/>
      <c r="D3" s="41"/>
      <c r="E3" s="41"/>
      <c r="F3" s="41"/>
      <c r="G3" s="41"/>
      <c r="H3" s="41"/>
      <c r="I3" s="39"/>
    </row>
    <row r="4" spans="2:9" ht="13.5" customHeight="1">
      <c r="B4" s="42" t="s">
        <v>4</v>
      </c>
      <c r="C4" s="41"/>
      <c r="D4" s="41"/>
      <c r="E4" s="41"/>
      <c r="F4" s="41"/>
      <c r="G4" s="41"/>
      <c r="H4" s="41"/>
      <c r="I4" s="39"/>
    </row>
    <row r="5" spans="2:9" ht="3.75" customHeight="1">
      <c r="B5" s="43"/>
      <c r="C5" s="44"/>
      <c r="D5" s="44"/>
      <c r="E5" s="44"/>
      <c r="F5" s="44"/>
      <c r="G5" s="44"/>
      <c r="H5" s="44"/>
      <c r="I5" s="39"/>
    </row>
    <row r="6" spans="2:8" ht="12.75" customHeight="1">
      <c r="B6" s="45"/>
      <c r="C6" s="45"/>
      <c r="D6" s="45"/>
      <c r="E6" s="45"/>
      <c r="F6" s="45"/>
      <c r="G6" s="45"/>
      <c r="H6" s="45"/>
    </row>
    <row r="7" spans="2:6" ht="13.5">
      <c r="B7" s="46" t="s">
        <v>56</v>
      </c>
      <c r="C7" s="47"/>
      <c r="D7" s="47"/>
      <c r="E7" s="47"/>
      <c r="F7" s="39"/>
    </row>
    <row r="8" spans="2:5" ht="3.75" customHeight="1">
      <c r="B8" s="45"/>
      <c r="C8" s="45"/>
      <c r="D8" s="45"/>
      <c r="E8" s="45"/>
    </row>
    <row r="9" ht="12.75" customHeight="1">
      <c r="B9" s="48" t="s">
        <v>57</v>
      </c>
    </row>
    <row r="10" ht="12.75" customHeight="1">
      <c r="B10" s="48" t="s">
        <v>58</v>
      </c>
    </row>
    <row r="11" ht="12.75" customHeight="1"/>
    <row r="12" ht="12.75" customHeight="1">
      <c r="B12" s="48" t="s">
        <v>59</v>
      </c>
    </row>
    <row r="13" ht="12.75" customHeight="1">
      <c r="B13" s="48" t="s">
        <v>60</v>
      </c>
    </row>
    <row r="14" ht="12.75" customHeight="1">
      <c r="B14" s="48" t="s">
        <v>61</v>
      </c>
    </row>
    <row r="15" ht="12.75" customHeight="1">
      <c r="B15" s="48" t="s">
        <v>62</v>
      </c>
    </row>
    <row r="16" ht="12.75" customHeight="1">
      <c r="B16" s="48" t="s">
        <v>63</v>
      </c>
    </row>
    <row r="17" ht="12.75" customHeight="1">
      <c r="B17" s="48" t="s">
        <v>64</v>
      </c>
    </row>
    <row r="18" ht="12.75" customHeight="1">
      <c r="B18" s="48" t="s">
        <v>65</v>
      </c>
    </row>
    <row r="19" ht="12.75" customHeight="1"/>
    <row r="20" ht="12.75" customHeight="1">
      <c r="B20" s="48" t="s">
        <v>66</v>
      </c>
    </row>
    <row r="21" ht="12.75" customHeight="1"/>
    <row r="22" spans="2:6" ht="12.75" customHeight="1">
      <c r="B22" s="46" t="s">
        <v>67</v>
      </c>
      <c r="C22" s="47"/>
      <c r="D22" s="47"/>
      <c r="E22" s="47"/>
      <c r="F22" s="39"/>
    </row>
    <row r="23" spans="2:5" ht="12.75" customHeight="1">
      <c r="B23" s="45"/>
      <c r="C23" s="45"/>
      <c r="D23" s="45"/>
      <c r="E23" s="45"/>
    </row>
    <row r="24" ht="12.75" customHeight="1">
      <c r="B24" s="48" t="s">
        <v>68</v>
      </c>
    </row>
    <row r="25" ht="12.75" customHeight="1">
      <c r="B25" s="48" t="s">
        <v>69</v>
      </c>
    </row>
    <row r="26" ht="12.75" customHeight="1"/>
    <row r="27" ht="12.75" customHeight="1">
      <c r="B27" s="48" t="s">
        <v>70</v>
      </c>
    </row>
    <row r="28" ht="12.75" customHeight="1"/>
    <row r="29" spans="2:6" ht="12.75" customHeight="1">
      <c r="B29" s="46" t="s">
        <v>71</v>
      </c>
      <c r="C29" s="47"/>
      <c r="D29" s="47"/>
      <c r="E29" s="47"/>
      <c r="F29" s="39"/>
    </row>
    <row r="30" spans="2:5" ht="3.75" customHeight="1">
      <c r="B30" s="45"/>
      <c r="C30" s="45"/>
      <c r="D30" s="45"/>
      <c r="E30" s="45"/>
    </row>
    <row r="31" ht="12.75" customHeight="1">
      <c r="B31" s="48" t="s">
        <v>72</v>
      </c>
    </row>
    <row r="32" ht="12.75" customHeight="1">
      <c r="B32" s="48" t="s">
        <v>73</v>
      </c>
    </row>
    <row r="33" ht="12.75" customHeight="1">
      <c r="B33" s="48" t="s">
        <v>74</v>
      </c>
    </row>
    <row r="34" ht="3.75" customHeight="1"/>
    <row r="35" spans="2:5" ht="13.5">
      <c r="B35" s="48" t="s">
        <v>75</v>
      </c>
      <c r="C35" s="48" t="s">
        <v>76</v>
      </c>
      <c r="E35" s="48" t="s">
        <v>77</v>
      </c>
    </row>
    <row r="36" ht="3.75" customHeight="1"/>
    <row r="37" ht="12.75" customHeight="1"/>
    <row r="38" ht="12.75" customHeight="1"/>
    <row r="39" ht="12.75" customHeight="1"/>
    <row r="41" ht="3.75" customHeight="1"/>
  </sheetData>
  <sheetProtection sheet="1"/>
  <printOptions/>
  <pageMargins left="0.5" right="0.5" top="0.5" bottom="0.5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